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ís\SkyDrive\Doutoramento\Congressos\2014 AROUND\"/>
    </mc:Choice>
  </mc:AlternateContent>
  <bookViews>
    <workbookView xWindow="0" yWindow="0" windowWidth="28800" windowHeight="12285"/>
  </bookViews>
  <sheets>
    <sheet name="TRL" sheetId="1" r:id="rId1"/>
    <sheet name="Siegloch - HCM" sheetId="2" r:id="rId2"/>
    <sheet name="Hagring - 1 via" sheetId="3" r:id="rId3"/>
    <sheet name="Hagring - 2 vias" sheetId="5" r:id="rId4"/>
    <sheet name="Notas" sheetId="7" r:id="rId5"/>
  </sheets>
  <definedNames>
    <definedName name="Delta1">'Hagring - 2 vias'!$C$14</definedName>
    <definedName name="Delta2">'Hagring - 2 vias'!$C$20</definedName>
    <definedName name="lam_1">'Hagring - 2 vias'!$C$16</definedName>
    <definedName name="Lam_2">'Hagring - 2 vias'!$C$22</definedName>
    <definedName name="Phi_1">'Hagring - 2 vias'!$C$15</definedName>
    <definedName name="Phi_2">'Hagring - 2 vias'!$C$21</definedName>
    <definedName name="qc_1">'Hagring - 2 vias'!$C$13</definedName>
    <definedName name="qc_2">'Hagring - 2 vias'!$C$19</definedName>
    <definedName name="tcD">'Hagring - 2 vias'!$C$9</definedName>
    <definedName name="tcE">'Hagring - 2 vias'!$C$5</definedName>
    <definedName name="tfD">'Hagring - 2 vias'!$C$10</definedName>
    <definedName name="tfE">'Hagring - 2 vias'!$C$6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5" l="1"/>
  <c r="C15" i="5"/>
  <c r="C16" i="5" s="1"/>
  <c r="C25" i="5" s="1"/>
  <c r="C21" i="5"/>
  <c r="C22" i="5" s="1"/>
  <c r="C36" i="2"/>
  <c r="C37" i="2"/>
  <c r="C42" i="2"/>
  <c r="C41" i="2"/>
  <c r="C30" i="2"/>
  <c r="C32" i="2" s="1"/>
  <c r="C12" i="3"/>
  <c r="C13" i="3" s="1"/>
  <c r="C19" i="2"/>
  <c r="C21" i="2" s="1"/>
  <c r="C9" i="2"/>
  <c r="C11" i="2" s="1"/>
  <c r="C26" i="5" l="1"/>
  <c r="C34" i="5" s="1"/>
  <c r="C43" i="2"/>
  <c r="C16" i="3"/>
  <c r="C18" i="3" s="1"/>
  <c r="C44" i="2"/>
  <c r="D16" i="1"/>
  <c r="C16" i="1"/>
  <c r="D14" i="1"/>
  <c r="C14" i="1"/>
  <c r="D11" i="1"/>
  <c r="D12" i="1" s="1"/>
  <c r="D13" i="1" s="1"/>
  <c r="C11" i="1"/>
  <c r="C12" i="1" s="1"/>
  <c r="C13" i="1" s="1"/>
  <c r="C38" i="5" l="1"/>
  <c r="C40" i="5" s="1"/>
  <c r="C37" i="5"/>
  <c r="C39" i="5" s="1"/>
  <c r="C15" i="1"/>
  <c r="C19" i="1" s="1"/>
  <c r="D15" i="1"/>
  <c r="D19" i="1" s="1"/>
  <c r="D18" i="1"/>
  <c r="C18" i="1"/>
  <c r="C21" i="1" l="1"/>
  <c r="C23" i="1" s="1"/>
  <c r="D21" i="1"/>
  <c r="D23" i="1" s="1"/>
</calcChain>
</file>

<file path=xl/comments1.xml><?xml version="1.0" encoding="utf-8"?>
<comments xmlns="http://schemas.openxmlformats.org/spreadsheetml/2006/main">
  <authors>
    <author>Luís Vasconcelos</author>
  </authors>
  <commentList>
    <comment ref="C39" authorId="0" shapeId="0">
      <text>
        <r>
          <rPr>
            <b/>
            <sz val="9"/>
            <color indexed="81"/>
            <rFont val="Tahoma"/>
            <family val="2"/>
          </rPr>
          <t>Luís Vasconcelos:</t>
        </r>
        <r>
          <rPr>
            <sz val="9"/>
            <color indexed="81"/>
            <rFont val="Tahoma"/>
            <family val="2"/>
          </rPr>
          <t xml:space="preserve">
Valores default do HCM 2010 aplicáveis a casos típicos de distribuição direcional do tráfego na entrada.</t>
        </r>
      </text>
    </comment>
  </commentList>
</comments>
</file>

<file path=xl/sharedStrings.xml><?xml version="1.0" encoding="utf-8"?>
<sst xmlns="http://schemas.openxmlformats.org/spreadsheetml/2006/main" count="183" uniqueCount="115">
  <si>
    <t>v</t>
  </si>
  <si>
    <t>e</t>
  </si>
  <si>
    <t>l'</t>
  </si>
  <si>
    <t>f</t>
  </si>
  <si>
    <t>R</t>
  </si>
  <si>
    <t>DCI</t>
  </si>
  <si>
    <t>q</t>
  </si>
  <si>
    <t>S</t>
  </si>
  <si>
    <t>X2</t>
  </si>
  <si>
    <t>F</t>
  </si>
  <si>
    <t>td</t>
  </si>
  <si>
    <t>Fc</t>
  </si>
  <si>
    <t>K</t>
  </si>
  <si>
    <t>Q</t>
  </si>
  <si>
    <t>x</t>
  </si>
  <si>
    <t>Largura da faixa de aproximação (m)</t>
  </si>
  <si>
    <t>Largura da faixa de entrada (m)</t>
  </si>
  <si>
    <t>Comprimento do leque (m)</t>
  </si>
  <si>
    <t>Raio da entrada (m)</t>
  </si>
  <si>
    <t>Diâmetro do círculo inscrito (m)</t>
  </si>
  <si>
    <t>Procura (uve/h)</t>
  </si>
  <si>
    <t>Fluxo conflituante (uve/h)</t>
  </si>
  <si>
    <t>Parâmetro</t>
  </si>
  <si>
    <t>A</t>
  </si>
  <si>
    <t>B</t>
  </si>
  <si>
    <t>Capacidade geométrica (uve/h)</t>
  </si>
  <si>
    <t>Declive</t>
  </si>
  <si>
    <t>Capacidade (uve/h)</t>
  </si>
  <si>
    <t>Taxa de saturação</t>
  </si>
  <si>
    <t>Cálculos auxiliares</t>
  </si>
  <si>
    <t>Ângulo de entrada (º)</t>
  </si>
  <si>
    <r>
      <t>q</t>
    </r>
    <r>
      <rPr>
        <i/>
        <vertAlign val="subscript"/>
        <sz val="11"/>
        <rFont val="Times New Roman"/>
        <family val="1"/>
      </rPr>
      <t>c</t>
    </r>
  </si>
  <si>
    <t>Choupal (Sul)</t>
  </si>
  <si>
    <t>Artur Paredes (Oeste)</t>
  </si>
  <si>
    <t>Método do Transportation Research Laboratory</t>
  </si>
  <si>
    <t>Método de Siegloch - Rotundas de uma via de circulação</t>
  </si>
  <si>
    <t>Intervalo crítico (s)</t>
  </si>
  <si>
    <t>Intervalo complementar (s)</t>
  </si>
  <si>
    <t>(parâmetros calibrados para Portugal)</t>
  </si>
  <si>
    <t>(parâmetros calibrados para os Estados Unidos - HCM 2010)</t>
  </si>
  <si>
    <r>
      <t>t</t>
    </r>
    <r>
      <rPr>
        <i/>
        <vertAlign val="subscript"/>
        <sz val="11"/>
        <color theme="1"/>
        <rFont val="Times New Roman"/>
        <family val="1"/>
      </rPr>
      <t>c</t>
    </r>
  </si>
  <si>
    <r>
      <t>t</t>
    </r>
    <r>
      <rPr>
        <i/>
        <vertAlign val="subscript"/>
        <sz val="11"/>
        <color theme="1"/>
        <rFont val="Times New Roman"/>
        <family val="1"/>
      </rPr>
      <t>f</t>
    </r>
  </si>
  <si>
    <r>
      <t>q</t>
    </r>
    <r>
      <rPr>
        <i/>
        <vertAlign val="subscript"/>
        <sz val="11"/>
        <color theme="1"/>
        <rFont val="Times New Roman"/>
        <family val="1"/>
      </rPr>
      <t>c</t>
    </r>
  </si>
  <si>
    <t>Parâmetros de aceitação</t>
  </si>
  <si>
    <t>Parâmetros da corrente prioritária</t>
  </si>
  <si>
    <t>Intervalo mínimo (s)</t>
  </si>
  <si>
    <t>D</t>
  </si>
  <si>
    <t>Proporção de veículos livres</t>
  </si>
  <si>
    <t>Parâmetro de escala</t>
  </si>
  <si>
    <t>l</t>
  </si>
  <si>
    <t>Método de Siegloch - Rotundas de duas vias de circulação</t>
  </si>
  <si>
    <t>Fluxo conflituante total (uve/h)</t>
  </si>
  <si>
    <t>1.º Caso - uma via de entrada e duas vias de circulação</t>
  </si>
  <si>
    <t>2.º Caso - duas vias de entrada e duas vias de circulação</t>
  </si>
  <si>
    <t>Procura total (uve/h)</t>
  </si>
  <si>
    <t>Procura - via esquerda (uve/h)</t>
  </si>
  <si>
    <t>Prop. tráfego total na via da esquerda</t>
  </si>
  <si>
    <t>Prop. tráfego total na via da direita</t>
  </si>
  <si>
    <t>Procura - via direita (uve/h)</t>
  </si>
  <si>
    <r>
      <t>q</t>
    </r>
    <r>
      <rPr>
        <i/>
        <vertAlign val="subscript"/>
        <sz val="11"/>
        <color theme="1"/>
        <rFont val="Times New Roman"/>
        <family val="1"/>
      </rPr>
      <t>E</t>
    </r>
  </si>
  <si>
    <r>
      <t>q</t>
    </r>
    <r>
      <rPr>
        <i/>
        <vertAlign val="subscript"/>
        <sz val="11"/>
        <color theme="1"/>
        <rFont val="Times New Roman"/>
        <family val="1"/>
      </rPr>
      <t>D</t>
    </r>
  </si>
  <si>
    <t>Taxa de saturação (Esq.)</t>
  </si>
  <si>
    <t>Taxa de saturação (Dta)</t>
  </si>
  <si>
    <r>
      <t>x</t>
    </r>
    <r>
      <rPr>
        <i/>
        <vertAlign val="subscript"/>
        <sz val="11"/>
        <color theme="1"/>
        <rFont val="Times New Roman"/>
        <family val="1"/>
      </rPr>
      <t>E</t>
    </r>
  </si>
  <si>
    <r>
      <t>x</t>
    </r>
    <r>
      <rPr>
        <i/>
        <vertAlign val="subscript"/>
        <sz val="11"/>
        <color theme="1"/>
        <rFont val="Times New Roman"/>
        <family val="1"/>
      </rPr>
      <t>D</t>
    </r>
  </si>
  <si>
    <t>Capacidade Esq. (uve/h)</t>
  </si>
  <si>
    <t>Capacidade Dta (uve/h)</t>
  </si>
  <si>
    <r>
      <t>Q</t>
    </r>
    <r>
      <rPr>
        <i/>
        <vertAlign val="subscript"/>
        <sz val="11"/>
        <color theme="1"/>
        <rFont val="Times New Roman"/>
        <family val="1"/>
      </rPr>
      <t>E</t>
    </r>
  </si>
  <si>
    <r>
      <t>Q</t>
    </r>
    <r>
      <rPr>
        <i/>
        <vertAlign val="subscript"/>
        <sz val="11"/>
        <color theme="1"/>
        <rFont val="Times New Roman"/>
        <family val="1"/>
      </rPr>
      <t>D</t>
    </r>
  </si>
  <si>
    <t>Método de Hagring - duas vias de circulação e duas vias de entrada</t>
  </si>
  <si>
    <t>Método de Hagring - uma via de circulação</t>
  </si>
  <si>
    <t>Parâmetros da corrente prioritária 1</t>
  </si>
  <si>
    <t>Parâmetros da corrente prioritária 2</t>
  </si>
  <si>
    <t>Parâmetros de aceitação - via da esquerda</t>
  </si>
  <si>
    <t>Parâmetros de aceitação - via da direita</t>
  </si>
  <si>
    <t>Capacidades</t>
  </si>
  <si>
    <t>Repartição de tráfego pelas vias de entrada</t>
  </si>
  <si>
    <r>
      <t>p</t>
    </r>
    <r>
      <rPr>
        <i/>
        <vertAlign val="subscript"/>
        <sz val="11"/>
        <color theme="1"/>
        <rFont val="Times New Roman"/>
        <family val="1"/>
      </rPr>
      <t>E</t>
    </r>
  </si>
  <si>
    <r>
      <t>t</t>
    </r>
    <r>
      <rPr>
        <i/>
        <vertAlign val="subscript"/>
        <sz val="11"/>
        <color theme="1"/>
        <rFont val="Times New Roman"/>
        <family val="1"/>
      </rPr>
      <t>cE</t>
    </r>
  </si>
  <si>
    <r>
      <t>t</t>
    </r>
    <r>
      <rPr>
        <i/>
        <vertAlign val="subscript"/>
        <sz val="11"/>
        <color theme="1"/>
        <rFont val="Times New Roman"/>
        <family val="1"/>
      </rPr>
      <t>fE</t>
    </r>
  </si>
  <si>
    <r>
      <t>t</t>
    </r>
    <r>
      <rPr>
        <i/>
        <vertAlign val="subscript"/>
        <sz val="11"/>
        <color theme="1"/>
        <rFont val="Times New Roman"/>
        <family val="1"/>
      </rPr>
      <t>cD</t>
    </r>
  </si>
  <si>
    <r>
      <t>t</t>
    </r>
    <r>
      <rPr>
        <i/>
        <vertAlign val="subscript"/>
        <sz val="11"/>
        <color theme="1"/>
        <rFont val="Times New Roman"/>
        <family val="1"/>
      </rPr>
      <t>fD</t>
    </r>
  </si>
  <si>
    <r>
      <t>q</t>
    </r>
    <r>
      <rPr>
        <i/>
        <vertAlign val="subscript"/>
        <sz val="11"/>
        <color theme="1"/>
        <rFont val="Times New Roman"/>
        <family val="1"/>
      </rPr>
      <t>c1</t>
    </r>
  </si>
  <si>
    <r>
      <t>q</t>
    </r>
    <r>
      <rPr>
        <i/>
        <vertAlign val="subscript"/>
        <sz val="11"/>
        <color theme="1"/>
        <rFont val="Times New Roman"/>
        <family val="1"/>
      </rPr>
      <t>c2</t>
    </r>
  </si>
  <si>
    <r>
      <t>D</t>
    </r>
    <r>
      <rPr>
        <vertAlign val="subscript"/>
        <sz val="11"/>
        <color theme="1"/>
        <rFont val="Symbol"/>
        <family val="1"/>
        <charset val="2"/>
      </rPr>
      <t>2</t>
    </r>
  </si>
  <si>
    <r>
      <t>f</t>
    </r>
    <r>
      <rPr>
        <vertAlign val="subscript"/>
        <sz val="11"/>
        <color theme="1"/>
        <rFont val="Symbol"/>
        <family val="1"/>
        <charset val="2"/>
      </rPr>
      <t>2</t>
    </r>
  </si>
  <si>
    <r>
      <t>l</t>
    </r>
    <r>
      <rPr>
        <vertAlign val="subscript"/>
        <sz val="11"/>
        <color theme="1"/>
        <rFont val="Symbol"/>
        <family val="1"/>
        <charset val="2"/>
      </rPr>
      <t>2</t>
    </r>
  </si>
  <si>
    <r>
      <t>l</t>
    </r>
    <r>
      <rPr>
        <vertAlign val="subscript"/>
        <sz val="11"/>
        <color theme="1"/>
        <rFont val="Symbol"/>
        <family val="1"/>
        <charset val="2"/>
      </rPr>
      <t>1</t>
    </r>
  </si>
  <si>
    <r>
      <t>f</t>
    </r>
    <r>
      <rPr>
        <vertAlign val="subscript"/>
        <sz val="11"/>
        <color theme="1"/>
        <rFont val="Symbol"/>
        <family val="1"/>
        <charset val="2"/>
      </rPr>
      <t>1</t>
    </r>
  </si>
  <si>
    <r>
      <t>D</t>
    </r>
    <r>
      <rPr>
        <vertAlign val="subscript"/>
        <sz val="11"/>
        <color theme="1"/>
        <rFont val="Symbol"/>
        <family val="1"/>
        <charset val="2"/>
      </rPr>
      <t>1</t>
    </r>
  </si>
  <si>
    <t>Procura inversão e vir. esq. (uve/h)</t>
  </si>
  <si>
    <t>Procura ida em frente (uve/h)</t>
  </si>
  <si>
    <t>Procura viragem à direita (uve/h)</t>
  </si>
  <si>
    <t>Procura total</t>
  </si>
  <si>
    <r>
      <t>q</t>
    </r>
    <r>
      <rPr>
        <i/>
        <vertAlign val="subscript"/>
        <sz val="11"/>
        <rFont val="Times New Roman"/>
        <family val="1"/>
      </rPr>
      <t>e</t>
    </r>
  </si>
  <si>
    <r>
      <t>q</t>
    </r>
    <r>
      <rPr>
        <i/>
        <vertAlign val="subscript"/>
        <sz val="11"/>
        <rFont val="Times New Roman"/>
        <family val="1"/>
      </rPr>
      <t>f</t>
    </r>
  </si>
  <si>
    <r>
      <t>q</t>
    </r>
    <r>
      <rPr>
        <i/>
        <vertAlign val="subscript"/>
        <sz val="11"/>
        <rFont val="Times New Roman"/>
        <family val="1"/>
      </rPr>
      <t>d</t>
    </r>
  </si>
  <si>
    <t>Choupal, entrada sul</t>
  </si>
  <si>
    <t>Artur Paredes, entrada oeste</t>
  </si>
  <si>
    <t>Resultados</t>
  </si>
  <si>
    <t>Prop. tráfego ida em frente na via Esq.</t>
  </si>
  <si>
    <t>Métodos do HCM</t>
  </si>
  <si>
    <t>Apresentação PowerPoint de suporte</t>
  </si>
  <si>
    <t>TRB, 2010. HCM 2010: Highway Capacity Manual. Transportation Research Board –  National  Research  Council, Washington, D.C.</t>
  </si>
  <si>
    <t>Calibração dos intervalos de aceitação (intervalo crítico e intervalo complementar)</t>
  </si>
  <si>
    <t>Calibração dos parâmetros da distribuição Cowan M3 (utilizados na fórmula de Hagring)</t>
  </si>
  <si>
    <t>Distribuição da procura pelas vias de entrada (fórmula de Hagring com duas vias de entrada)</t>
  </si>
  <si>
    <t>Vasconcelos, A.L.P., Bastos Silva, A., Seco, Á.J.M., Silva, J.P., 2012. Estimating the parameters of Cowan’s M3 headway distribution for roundabout capacity analyses. The Baltic Journal of Road and Bridge Engineering  VII(4), p. 261-268, doi: 10.3846/bjrbe.2012.35.</t>
  </si>
  <si>
    <t>Vasconcelos, A.L.P., Seco, Á.J.M., Bastos Silva, A., 2013. A comparison of procedures to estimate critical headways at roundabouts. PROMET - Traffic&amp;Transportation  25(1), p. 43-53. doi: http://dx.doi.org/10.7307/ptt.v25i1.1246</t>
  </si>
  <si>
    <t>Vasconcelos, A.L.P., Silva, A.B., Seco, Á.J.M., 2014. Capacity of normal and turbo-roundabouts: comparative analysis,167, Proceedings of the ICE - Transport, pp. 88-99. doi: 10.1680/tran.12.00003</t>
  </si>
  <si>
    <t>Questões?</t>
  </si>
  <si>
    <t>vasconcelos@estgv.ipv.pt</t>
  </si>
  <si>
    <t>Site do projeto AROUND:</t>
  </si>
  <si>
    <t>http://around-fct.weebly.com/</t>
  </si>
  <si>
    <t>Capacidade de Rotundas AROUND v1.0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</si>
</sst>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0.0%"/>
  </numFmts>
  <fonts count="25" x14ac:knownFonts="1">
    <font>
      <sz val="11"/>
      <color theme="1"/>
      <name val="Calibri"/>
      <family val="2"/>
      <scheme val="minor"/>
    </font>
    <font>
      <sz val="11"/>
      <color theme="1"/>
      <name val="Calibri"/>
      <family val="2"/>
      <scheme val="minor"/>
    </font>
    <font>
      <sz val="10"/>
      <name val="Arial"/>
      <family val="2"/>
    </font>
    <font>
      <sz val="10"/>
      <color rgb="FF006100"/>
      <name val="Calibri"/>
      <family val="2"/>
      <scheme val="minor"/>
    </font>
    <font>
      <sz val="10"/>
      <color theme="1"/>
      <name val="Times New Roman"/>
      <family val="1"/>
    </font>
    <font>
      <sz val="10"/>
      <name val="Times New Roman"/>
      <family val="1"/>
    </font>
    <font>
      <sz val="11"/>
      <color theme="1"/>
      <name val="Times New Roman"/>
      <family val="1"/>
    </font>
    <font>
      <sz val="11"/>
      <name val="Times New Roman"/>
      <family val="1"/>
    </font>
    <font>
      <i/>
      <sz val="11"/>
      <name val="Times New Roman"/>
      <family val="1"/>
    </font>
    <font>
      <sz val="11"/>
      <color rgb="FF0000FF"/>
      <name val="Times New Roman"/>
      <family val="1"/>
    </font>
    <font>
      <i/>
      <sz val="11"/>
      <name val="Symbol"/>
      <family val="1"/>
      <charset val="2"/>
    </font>
    <font>
      <i/>
      <vertAlign val="subscript"/>
      <sz val="11"/>
      <name val="Times New Roman"/>
      <family val="1"/>
    </font>
    <font>
      <b/>
      <sz val="11"/>
      <color theme="1"/>
      <name val="Times New Roman"/>
      <family val="1"/>
    </font>
    <font>
      <i/>
      <sz val="11"/>
      <color theme="1"/>
      <name val="Times New Roman"/>
      <family val="1"/>
    </font>
    <font>
      <i/>
      <vertAlign val="subscript"/>
      <sz val="11"/>
      <color theme="1"/>
      <name val="Times New Roman"/>
      <family val="1"/>
    </font>
    <font>
      <sz val="11"/>
      <color rgb="FFC00000"/>
      <name val="Times New Roman"/>
      <family val="1"/>
    </font>
    <font>
      <sz val="11"/>
      <color theme="1"/>
      <name val="Symbol"/>
      <family val="1"/>
      <charset val="2"/>
    </font>
    <font>
      <sz val="9"/>
      <color indexed="81"/>
      <name val="Tahoma"/>
      <family val="2"/>
    </font>
    <font>
      <b/>
      <sz val="9"/>
      <color indexed="81"/>
      <name val="Tahoma"/>
      <family val="2"/>
    </font>
    <font>
      <i/>
      <sz val="11"/>
      <color theme="1"/>
      <name val="Symbol"/>
      <family val="1"/>
      <charset val="2"/>
    </font>
    <font>
      <sz val="11"/>
      <color rgb="FF0000FF"/>
      <name val="Calibri"/>
      <family val="2"/>
      <scheme val="minor"/>
    </font>
    <font>
      <vertAlign val="subscript"/>
      <sz val="11"/>
      <color theme="1"/>
      <name val="Symbol"/>
      <family val="1"/>
      <charset val="2"/>
    </font>
    <font>
      <u/>
      <sz val="11"/>
      <color theme="10"/>
      <name val="Calibri"/>
      <family val="2"/>
      <scheme val="minor"/>
    </font>
    <font>
      <u/>
      <sz val="11"/>
      <color theme="10"/>
      <name val="Times New Roman"/>
      <family val="1"/>
    </font>
    <font>
      <b/>
      <sz val="11"/>
      <color rgb="FFC00000"/>
      <name val="Times New Roman"/>
      <family val="1"/>
    </font>
  </fonts>
  <fills count="6">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7" tint="0.79998168889431442"/>
        <bgColor indexed="64"/>
      </patternFill>
    </fill>
    <fill>
      <patternFill patternType="solid">
        <fgColor theme="5" tint="0.79998168889431442"/>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3" fillId="2" borderId="0" applyNumberFormat="0" applyBorder="0" applyAlignment="0" applyProtection="0"/>
    <xf numFmtId="9" fontId="2" fillId="0" borderId="0" applyFont="0" applyFill="0" applyBorder="0" applyAlignment="0" applyProtection="0"/>
    <xf numFmtId="0" fontId="22" fillId="0" borderId="0" applyNumberFormat="0" applyFill="0" applyBorder="0" applyAlignment="0" applyProtection="0"/>
  </cellStyleXfs>
  <cellXfs count="143">
    <xf numFmtId="0" fontId="0" fillId="0" borderId="0" xfId="0"/>
    <xf numFmtId="0" fontId="4" fillId="0" borderId="0" xfId="0" applyFont="1"/>
    <xf numFmtId="0" fontId="5" fillId="0" borderId="0" xfId="0" applyFont="1" applyFill="1"/>
    <xf numFmtId="0" fontId="6" fillId="0" borderId="0" xfId="0" applyFont="1"/>
    <xf numFmtId="0" fontId="6" fillId="3" borderId="1" xfId="0" applyFont="1" applyFill="1" applyBorder="1"/>
    <xf numFmtId="0" fontId="6" fillId="3" borderId="4" xfId="0" applyFont="1" applyFill="1" applyBorder="1"/>
    <xf numFmtId="0" fontId="6" fillId="3" borderId="2" xfId="0" applyFont="1" applyFill="1" applyBorder="1"/>
    <xf numFmtId="0" fontId="6" fillId="3" borderId="3" xfId="0" applyFont="1" applyFill="1" applyBorder="1"/>
    <xf numFmtId="0" fontId="6" fillId="4" borderId="1" xfId="0" applyFont="1" applyFill="1" applyBorder="1"/>
    <xf numFmtId="0" fontId="6" fillId="4" borderId="4" xfId="0" applyFont="1" applyFill="1" applyBorder="1"/>
    <xf numFmtId="0" fontId="6" fillId="4" borderId="2" xfId="0" applyFont="1" applyFill="1" applyBorder="1"/>
    <xf numFmtId="0" fontId="6" fillId="4" borderId="3" xfId="0" applyFont="1" applyFill="1" applyBorder="1"/>
    <xf numFmtId="0" fontId="6" fillId="5" borderId="1" xfId="0" applyFont="1" applyFill="1" applyBorder="1"/>
    <xf numFmtId="0" fontId="6" fillId="5" borderId="4" xfId="0" applyFont="1" applyFill="1" applyBorder="1"/>
    <xf numFmtId="0" fontId="6" fillId="5" borderId="2" xfId="0" applyFont="1" applyFill="1" applyBorder="1"/>
    <xf numFmtId="0" fontId="6" fillId="5" borderId="3" xfId="0" applyFont="1" applyFill="1" applyBorder="1"/>
    <xf numFmtId="1" fontId="7" fillId="3" borderId="7" xfId="2" applyNumberFormat="1" applyFont="1" applyFill="1" applyBorder="1" applyAlignment="1">
      <alignment horizontal="center"/>
    </xf>
    <xf numFmtId="166" fontId="7" fillId="3" borderId="8" xfId="2" applyNumberFormat="1" applyFont="1" applyFill="1" applyBorder="1" applyAlignment="1">
      <alignment horizontal="center"/>
    </xf>
    <xf numFmtId="0" fontId="9" fillId="3" borderId="8" xfId="3" applyFont="1" applyFill="1" applyBorder="1" applyAlignment="1">
      <alignment horizontal="center"/>
    </xf>
    <xf numFmtId="1" fontId="7" fillId="3" borderId="8" xfId="2" applyNumberFormat="1" applyFont="1" applyFill="1" applyBorder="1" applyAlignment="1">
      <alignment horizontal="center"/>
    </xf>
    <xf numFmtId="9" fontId="7" fillId="3" borderId="9" xfId="4" applyFont="1" applyFill="1" applyBorder="1" applyAlignment="1">
      <alignment horizontal="center"/>
    </xf>
    <xf numFmtId="0" fontId="12" fillId="0" borderId="0" xfId="0" applyFont="1"/>
    <xf numFmtId="0" fontId="6" fillId="0" borderId="0" xfId="0" applyFont="1" applyBorder="1"/>
    <xf numFmtId="0" fontId="13" fillId="0" borderId="0" xfId="0" applyFont="1"/>
    <xf numFmtId="0" fontId="0" fillId="0" borderId="0" xfId="0" applyBorder="1"/>
    <xf numFmtId="0" fontId="12" fillId="4" borderId="4" xfId="0" applyFont="1" applyFill="1" applyBorder="1"/>
    <xf numFmtId="0" fontId="6" fillId="4" borderId="5" xfId="0" applyFont="1" applyFill="1" applyBorder="1"/>
    <xf numFmtId="0" fontId="6" fillId="4" borderId="7" xfId="0" applyFont="1" applyFill="1" applyBorder="1"/>
    <xf numFmtId="0" fontId="6" fillId="4" borderId="6" xfId="0" applyFont="1" applyFill="1" applyBorder="1"/>
    <xf numFmtId="0" fontId="6" fillId="4" borderId="9" xfId="0" applyFont="1" applyFill="1" applyBorder="1"/>
    <xf numFmtId="0" fontId="13" fillId="4" borderId="10" xfId="0" applyFont="1" applyFill="1" applyBorder="1"/>
    <xf numFmtId="0" fontId="9" fillId="4" borderId="11" xfId="0" applyFont="1" applyFill="1" applyBorder="1"/>
    <xf numFmtId="0" fontId="13" fillId="4" borderId="5" xfId="0" applyFont="1" applyFill="1" applyBorder="1"/>
    <xf numFmtId="1" fontId="6" fillId="4" borderId="7" xfId="0" applyNumberFormat="1" applyFont="1" applyFill="1" applyBorder="1"/>
    <xf numFmtId="0" fontId="13" fillId="4" borderId="0" xfId="0" applyFont="1" applyFill="1" applyBorder="1"/>
    <xf numFmtId="0" fontId="9" fillId="4" borderId="8" xfId="0" applyFont="1" applyFill="1" applyBorder="1"/>
    <xf numFmtId="0" fontId="13" fillId="4" borderId="6" xfId="0" applyFont="1" applyFill="1" applyBorder="1"/>
    <xf numFmtId="9" fontId="6" fillId="4" borderId="9" xfId="1" applyFont="1" applyFill="1" applyBorder="1"/>
    <xf numFmtId="0" fontId="20" fillId="0" borderId="0" xfId="0" applyFont="1" applyBorder="1" applyAlignment="1">
      <alignment horizontal="center"/>
    </xf>
    <xf numFmtId="0" fontId="0" fillId="0" borderId="0" xfId="0" applyAlignment="1">
      <alignment horizontal="center"/>
    </xf>
    <xf numFmtId="0" fontId="13" fillId="0" borderId="0" xfId="0" applyFont="1" applyFill="1" applyBorder="1"/>
    <xf numFmtId="0" fontId="15" fillId="0" borderId="0" xfId="0" applyFont="1" applyFill="1" applyBorder="1" applyAlignment="1">
      <alignment horizontal="center"/>
    </xf>
    <xf numFmtId="0" fontId="0" fillId="0" borderId="0" xfId="0" applyFill="1"/>
    <xf numFmtId="0" fontId="6" fillId="0" borderId="0" xfId="0" applyFont="1" applyFill="1" applyBorder="1"/>
    <xf numFmtId="0" fontId="12" fillId="0" borderId="0" xfId="0" applyFont="1" applyFill="1"/>
    <xf numFmtId="0" fontId="9" fillId="0" borderId="0" xfId="0" applyFont="1" applyFill="1" applyBorder="1" applyAlignment="1">
      <alignment horizontal="center"/>
    </xf>
    <xf numFmtId="167" fontId="9" fillId="0" borderId="0" xfId="1" applyNumberFormat="1" applyFont="1" applyFill="1" applyBorder="1"/>
    <xf numFmtId="0" fontId="13" fillId="3" borderId="5" xfId="0" applyFont="1" applyFill="1" applyBorder="1"/>
    <xf numFmtId="0" fontId="13" fillId="3" borderId="0" xfId="0" applyFont="1" applyFill="1" applyBorder="1"/>
    <xf numFmtId="0" fontId="13" fillId="3" borderId="6" xfId="0" applyFont="1" applyFill="1" applyBorder="1"/>
    <xf numFmtId="9" fontId="6" fillId="3" borderId="9" xfId="1" applyNumberFormat="1" applyFont="1" applyFill="1" applyBorder="1"/>
    <xf numFmtId="0" fontId="13" fillId="3" borderId="10" xfId="0" applyFont="1" applyFill="1" applyBorder="1"/>
    <xf numFmtId="167" fontId="9" fillId="3" borderId="11" xfId="1" applyNumberFormat="1" applyFont="1" applyFill="1" applyBorder="1"/>
    <xf numFmtId="0" fontId="8" fillId="3" borderId="5" xfId="0" applyFont="1" applyFill="1" applyBorder="1"/>
    <xf numFmtId="0" fontId="9" fillId="3" borderId="7" xfId="0" applyFont="1" applyFill="1" applyBorder="1" applyAlignment="1">
      <alignment horizontal="right"/>
    </xf>
    <xf numFmtId="0" fontId="8" fillId="3" borderId="0" xfId="0" applyFont="1" applyFill="1" applyBorder="1"/>
    <xf numFmtId="0" fontId="9" fillId="3" borderId="8" xfId="0" applyFont="1" applyFill="1" applyBorder="1" applyAlignment="1">
      <alignment horizontal="right"/>
    </xf>
    <xf numFmtId="0" fontId="8" fillId="3" borderId="6" xfId="0" applyFont="1" applyFill="1" applyBorder="1" applyAlignment="1">
      <alignment horizontal="left"/>
    </xf>
    <xf numFmtId="0" fontId="6" fillId="3" borderId="9" xfId="0" applyFont="1" applyFill="1" applyBorder="1" applyAlignment="1">
      <alignment horizontal="right"/>
    </xf>
    <xf numFmtId="1" fontId="6" fillId="3" borderId="7" xfId="0" applyNumberFormat="1" applyFont="1" applyFill="1" applyBorder="1"/>
    <xf numFmtId="1" fontId="6" fillId="3" borderId="9" xfId="0" applyNumberFormat="1" applyFont="1" applyFill="1" applyBorder="1"/>
    <xf numFmtId="0" fontId="9" fillId="3" borderId="7" xfId="0" applyFont="1" applyFill="1" applyBorder="1"/>
    <xf numFmtId="0" fontId="16" fillId="3" borderId="0" xfId="0" applyFont="1" applyFill="1" applyBorder="1"/>
    <xf numFmtId="0" fontId="6" fillId="3" borderId="8" xfId="0" applyFont="1" applyFill="1" applyBorder="1"/>
    <xf numFmtId="165" fontId="6" fillId="3" borderId="8" xfId="0" applyNumberFormat="1" applyFont="1" applyFill="1" applyBorder="1"/>
    <xf numFmtId="0" fontId="16" fillId="3" borderId="6" xfId="0" applyFont="1" applyFill="1" applyBorder="1"/>
    <xf numFmtId="165" fontId="6" fillId="3" borderId="9" xfId="0" applyNumberFormat="1" applyFont="1" applyFill="1" applyBorder="1"/>
    <xf numFmtId="0" fontId="7" fillId="0" borderId="0" xfId="2" applyFont="1" applyBorder="1" applyAlignment="1">
      <alignment horizontal="center"/>
    </xf>
    <xf numFmtId="0" fontId="7" fillId="3" borderId="10" xfId="2" applyFont="1" applyFill="1" applyBorder="1" applyAlignment="1">
      <alignment horizontal="center" vertic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8" fillId="3" borderId="5" xfId="2" applyFont="1" applyFill="1" applyBorder="1" applyAlignment="1">
      <alignment horizontal="center"/>
    </xf>
    <xf numFmtId="164" fontId="9" fillId="3" borderId="5" xfId="3" applyNumberFormat="1" applyFont="1" applyFill="1" applyBorder="1" applyAlignment="1" applyProtection="1">
      <alignment horizontal="center"/>
      <protection locked="0"/>
    </xf>
    <xf numFmtId="164" fontId="9" fillId="3" borderId="7" xfId="3" applyNumberFormat="1" applyFont="1" applyFill="1" applyBorder="1" applyAlignment="1" applyProtection="1">
      <alignment horizontal="center"/>
      <protection locked="0"/>
    </xf>
    <xf numFmtId="0" fontId="8" fillId="3" borderId="0" xfId="2" applyFont="1" applyFill="1" applyBorder="1" applyAlignment="1">
      <alignment horizontal="center"/>
    </xf>
    <xf numFmtId="164" fontId="9" fillId="3" borderId="0" xfId="3" applyNumberFormat="1" applyFont="1" applyFill="1" applyBorder="1" applyAlignment="1" applyProtection="1">
      <alignment horizontal="center"/>
      <protection locked="0"/>
    </xf>
    <xf numFmtId="164" fontId="9" fillId="3" borderId="8" xfId="3" applyNumberFormat="1" applyFont="1" applyFill="1" applyBorder="1" applyAlignment="1" applyProtection="1">
      <alignment horizontal="center"/>
      <protection locked="0"/>
    </xf>
    <xf numFmtId="0" fontId="9" fillId="3" borderId="0" xfId="3" quotePrefix="1" applyFont="1" applyFill="1" applyBorder="1" applyAlignment="1" applyProtection="1">
      <alignment horizontal="center"/>
      <protection locked="0"/>
    </xf>
    <xf numFmtId="0" fontId="9" fillId="3" borderId="8" xfId="3" quotePrefix="1" applyFont="1" applyFill="1" applyBorder="1" applyAlignment="1" applyProtection="1">
      <alignment horizontal="center"/>
      <protection locked="0"/>
    </xf>
    <xf numFmtId="0" fontId="10" fillId="3" borderId="0" xfId="2" applyFont="1" applyFill="1" applyBorder="1" applyAlignment="1">
      <alignment horizontal="center"/>
    </xf>
    <xf numFmtId="0" fontId="9" fillId="3" borderId="0" xfId="3" applyFont="1" applyFill="1" applyBorder="1" applyAlignment="1" applyProtection="1">
      <alignment horizontal="center"/>
      <protection locked="0"/>
    </xf>
    <xf numFmtId="0" fontId="9" fillId="3" borderId="8" xfId="3" applyFont="1" applyFill="1" applyBorder="1" applyAlignment="1" applyProtection="1">
      <alignment horizontal="center"/>
      <protection locked="0"/>
    </xf>
    <xf numFmtId="0" fontId="8" fillId="3" borderId="6" xfId="2" applyFont="1" applyFill="1" applyBorder="1" applyAlignment="1">
      <alignment horizontal="center"/>
    </xf>
    <xf numFmtId="0" fontId="9" fillId="3" borderId="6" xfId="3" applyFont="1" applyFill="1" applyBorder="1" applyAlignment="1" applyProtection="1">
      <alignment horizontal="center"/>
      <protection locked="0"/>
    </xf>
    <xf numFmtId="0" fontId="9" fillId="3" borderId="9" xfId="3" applyFont="1" applyFill="1" applyBorder="1" applyAlignment="1" applyProtection="1">
      <alignment horizontal="center"/>
      <protection locked="0"/>
    </xf>
    <xf numFmtId="0" fontId="7" fillId="3" borderId="5" xfId="2" applyFont="1" applyFill="1" applyBorder="1" applyAlignment="1">
      <alignment horizontal="center"/>
    </xf>
    <xf numFmtId="165" fontId="7" fillId="3" borderId="5" xfId="2" applyNumberFormat="1" applyFont="1" applyFill="1" applyBorder="1" applyAlignment="1">
      <alignment horizontal="center"/>
    </xf>
    <xf numFmtId="165" fontId="7" fillId="3" borderId="7" xfId="2" applyNumberFormat="1" applyFont="1" applyFill="1" applyBorder="1" applyAlignment="1">
      <alignment horizontal="center"/>
    </xf>
    <xf numFmtId="0" fontId="7" fillId="3" borderId="0" xfId="2" applyFont="1" applyFill="1" applyBorder="1" applyAlignment="1">
      <alignment horizontal="center"/>
    </xf>
    <xf numFmtId="165" fontId="7" fillId="3" borderId="0" xfId="2" applyNumberFormat="1" applyFont="1" applyFill="1" applyBorder="1" applyAlignment="1">
      <alignment horizontal="center"/>
    </xf>
    <xf numFmtId="165" fontId="7" fillId="3" borderId="8" xfId="2" applyNumberFormat="1" applyFont="1" applyFill="1" applyBorder="1" applyAlignment="1">
      <alignment horizontal="center"/>
    </xf>
    <xf numFmtId="1" fontId="7" fillId="3" borderId="0" xfId="2" applyNumberFormat="1" applyFont="1" applyFill="1" applyBorder="1" applyAlignment="1">
      <alignment horizontal="center"/>
    </xf>
    <xf numFmtId="0" fontId="7" fillId="3" borderId="6" xfId="2" applyFont="1" applyFill="1" applyBorder="1" applyAlignment="1">
      <alignment horizontal="center"/>
    </xf>
    <xf numFmtId="165" fontId="7" fillId="3" borderId="6" xfId="2" applyNumberFormat="1" applyFont="1" applyFill="1" applyBorder="1" applyAlignment="1">
      <alignment horizontal="center"/>
    </xf>
    <xf numFmtId="165" fontId="7" fillId="3" borderId="9" xfId="2" applyNumberFormat="1" applyFont="1" applyFill="1" applyBorder="1" applyAlignment="1">
      <alignment horizontal="center"/>
    </xf>
    <xf numFmtId="1" fontId="7" fillId="3" borderId="5" xfId="2" applyNumberFormat="1" applyFont="1" applyFill="1" applyBorder="1" applyAlignment="1">
      <alignment horizontal="center"/>
    </xf>
    <xf numFmtId="166" fontId="7" fillId="3" borderId="0" xfId="2" applyNumberFormat="1" applyFont="1" applyFill="1" applyBorder="1" applyAlignment="1">
      <alignment horizontal="center"/>
    </xf>
    <xf numFmtId="0" fontId="9" fillId="3" borderId="0" xfId="3" applyFont="1" applyFill="1" applyBorder="1" applyAlignment="1">
      <alignment horizontal="center"/>
    </xf>
    <xf numFmtId="9" fontId="7" fillId="3" borderId="6" xfId="4" applyFont="1" applyFill="1" applyBorder="1" applyAlignment="1">
      <alignment horizontal="center"/>
    </xf>
    <xf numFmtId="0" fontId="12" fillId="3" borderId="4" xfId="0" applyFont="1" applyFill="1" applyBorder="1"/>
    <xf numFmtId="0" fontId="6" fillId="3" borderId="5" xfId="0" applyFont="1" applyFill="1" applyBorder="1"/>
    <xf numFmtId="0" fontId="6" fillId="3" borderId="7" xfId="0" applyFont="1" applyFill="1" applyBorder="1"/>
    <xf numFmtId="0" fontId="6" fillId="3" borderId="6" xfId="0" applyFont="1" applyFill="1" applyBorder="1"/>
    <xf numFmtId="0" fontId="6" fillId="3" borderId="9" xfId="0" applyFont="1" applyFill="1" applyBorder="1"/>
    <xf numFmtId="0" fontId="15" fillId="3" borderId="7" xfId="0" applyFont="1" applyFill="1" applyBorder="1"/>
    <xf numFmtId="0" fontId="15" fillId="3" borderId="8" xfId="0" applyFont="1" applyFill="1" applyBorder="1"/>
    <xf numFmtId="0" fontId="9" fillId="3" borderId="9" xfId="0" applyFont="1" applyFill="1" applyBorder="1"/>
    <xf numFmtId="0" fontId="9" fillId="3" borderId="8" xfId="0" applyFont="1" applyFill="1" applyBorder="1"/>
    <xf numFmtId="9" fontId="6" fillId="3" borderId="9" xfId="1" applyFont="1" applyFill="1" applyBorder="1"/>
    <xf numFmtId="0" fontId="12" fillId="5" borderId="4" xfId="0" applyFont="1" applyFill="1" applyBorder="1"/>
    <xf numFmtId="0" fontId="6" fillId="5" borderId="5" xfId="0" applyFont="1" applyFill="1" applyBorder="1"/>
    <xf numFmtId="0" fontId="6" fillId="5" borderId="7" xfId="0" applyFont="1" applyFill="1" applyBorder="1"/>
    <xf numFmtId="0" fontId="6" fillId="5" borderId="6" xfId="0" applyFont="1" applyFill="1" applyBorder="1"/>
    <xf numFmtId="0" fontId="6" fillId="5" borderId="9" xfId="0" applyFont="1" applyFill="1" applyBorder="1"/>
    <xf numFmtId="0" fontId="13" fillId="5" borderId="10" xfId="0" applyFont="1" applyFill="1" applyBorder="1"/>
    <xf numFmtId="0" fontId="9" fillId="5" borderId="11" xfId="0" applyFont="1" applyFill="1" applyBorder="1"/>
    <xf numFmtId="0" fontId="13" fillId="5" borderId="5" xfId="0" applyFont="1" applyFill="1" applyBorder="1"/>
    <xf numFmtId="1" fontId="6" fillId="5" borderId="7" xfId="0" applyNumberFormat="1" applyFont="1" applyFill="1" applyBorder="1"/>
    <xf numFmtId="0" fontId="13" fillId="5" borderId="0" xfId="0" applyFont="1" applyFill="1" applyBorder="1"/>
    <xf numFmtId="0" fontId="9" fillId="5" borderId="8" xfId="0" applyFont="1" applyFill="1" applyBorder="1"/>
    <xf numFmtId="0" fontId="13" fillId="5" borderId="6" xfId="0" applyFont="1" applyFill="1" applyBorder="1"/>
    <xf numFmtId="9" fontId="6" fillId="5" borderId="9" xfId="1" applyFont="1" applyFill="1" applyBorder="1"/>
    <xf numFmtId="1" fontId="6" fillId="5" borderId="8" xfId="0" applyNumberFormat="1" applyFont="1" applyFill="1" applyBorder="1"/>
    <xf numFmtId="0" fontId="15" fillId="5" borderId="8" xfId="0" applyFont="1" applyFill="1" applyBorder="1"/>
    <xf numFmtId="9" fontId="7" fillId="5" borderId="8" xfId="1" applyFont="1" applyFill="1" applyBorder="1"/>
    <xf numFmtId="9" fontId="7" fillId="5" borderId="9" xfId="1" applyFont="1" applyFill="1" applyBorder="1"/>
    <xf numFmtId="0" fontId="15" fillId="3" borderId="9" xfId="0" applyFont="1" applyFill="1" applyBorder="1"/>
    <xf numFmtId="0" fontId="19" fillId="3" borderId="0" xfId="0" applyFont="1" applyFill="1" applyBorder="1"/>
    <xf numFmtId="0" fontId="19" fillId="3" borderId="6" xfId="0" applyFont="1" applyFill="1" applyBorder="1"/>
    <xf numFmtId="1" fontId="6" fillId="3" borderId="8" xfId="0" applyNumberFormat="1" applyFont="1" applyFill="1" applyBorder="1"/>
    <xf numFmtId="9" fontId="6" fillId="3" borderId="8" xfId="1" applyNumberFormat="1" applyFont="1" applyFill="1" applyBorder="1"/>
    <xf numFmtId="0" fontId="16" fillId="0" borderId="0" xfId="0" applyFont="1" applyFill="1" applyBorder="1"/>
    <xf numFmtId="165" fontId="6" fillId="0" borderId="0" xfId="0" applyNumberFormat="1" applyFont="1" applyFill="1" applyBorder="1"/>
    <xf numFmtId="0" fontId="6" fillId="0" borderId="0" xfId="0" applyFont="1" applyFill="1"/>
    <xf numFmtId="9" fontId="6" fillId="0" borderId="0" xfId="1" applyFont="1" applyFill="1" applyBorder="1"/>
    <xf numFmtId="0" fontId="19" fillId="0" borderId="0" xfId="0" applyFont="1" applyFill="1" applyBorder="1"/>
    <xf numFmtId="0" fontId="15" fillId="3" borderId="7" xfId="0" applyFont="1" applyFill="1" applyBorder="1" applyAlignment="1">
      <alignment horizontal="center"/>
    </xf>
    <xf numFmtId="0" fontId="15" fillId="3" borderId="9" xfId="0" applyFont="1" applyFill="1" applyBorder="1" applyAlignment="1">
      <alignment horizontal="center"/>
    </xf>
    <xf numFmtId="0" fontId="23" fillId="0" borderId="0" xfId="5" applyFont="1"/>
    <xf numFmtId="0" fontId="6" fillId="0" borderId="0" xfId="0" applyFont="1" applyAlignment="1">
      <alignment wrapText="1"/>
    </xf>
    <xf numFmtId="0" fontId="24" fillId="0" borderId="0" xfId="0" applyFont="1" applyAlignment="1">
      <alignment wrapText="1"/>
    </xf>
    <xf numFmtId="0" fontId="23" fillId="0" borderId="0" xfId="5" applyFont="1" applyAlignment="1">
      <alignment wrapText="1"/>
    </xf>
    <xf numFmtId="0" fontId="12" fillId="0" borderId="0" xfId="0" applyFont="1" applyAlignment="1">
      <alignment wrapText="1"/>
    </xf>
  </cellXfs>
  <cellStyles count="6">
    <cellStyle name="Correto 2" xfId="3"/>
    <cellStyle name="Hiperligação" xfId="5" builtinId="8"/>
    <cellStyle name="Normal" xfId="0" builtinId="0"/>
    <cellStyle name="Normal 2" xfId="2"/>
    <cellStyle name="Percentagem" xfId="1" builtinId="5"/>
    <cellStyle name="Percentagem 2" xfId="4"/>
  </cellStyles>
  <dxfs count="0"/>
  <tableStyles count="0" defaultTableStyle="TableStyleMedium2" defaultPivotStyle="PivotStyleLight16"/>
  <colors>
    <mruColors>
      <color rgb="FFF8F8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hyperlink" Target="http://around-fct.weebly.com/" TargetMode="External"/><Relationship Id="rId1" Type="http://schemas.openxmlformats.org/officeDocument/2006/relationships/hyperlink" Target="mailto:vasconcelos@estgv.ipv.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5"/>
  <sheetViews>
    <sheetView showGridLines="0" tabSelected="1" workbookViewId="0">
      <selection activeCell="I5" sqref="I5"/>
    </sheetView>
  </sheetViews>
  <sheetFormatPr defaultRowHeight="18" customHeight="1" x14ac:dyDescent="0.2"/>
  <cols>
    <col min="1" max="1" width="33.140625" style="1" bestFit="1" customWidth="1"/>
    <col min="2" max="2" width="9.140625" style="1"/>
    <col min="3" max="4" width="9.85546875" style="1" customWidth="1"/>
    <col min="5" max="16384" width="9.140625" style="1"/>
  </cols>
  <sheetData>
    <row r="1" spans="1:4" ht="18" customHeight="1" x14ac:dyDescent="0.2">
      <c r="A1" s="21" t="s">
        <v>34</v>
      </c>
    </row>
    <row r="3" spans="1:4" ht="45" x14ac:dyDescent="0.25">
      <c r="A3" s="4" t="s">
        <v>22</v>
      </c>
      <c r="B3" s="68"/>
      <c r="C3" s="69" t="s">
        <v>32</v>
      </c>
      <c r="D3" s="70" t="s">
        <v>33</v>
      </c>
    </row>
    <row r="4" spans="1:4" ht="15.75" customHeight="1" x14ac:dyDescent="0.25">
      <c r="A4" s="5" t="s">
        <v>15</v>
      </c>
      <c r="B4" s="71" t="s">
        <v>0</v>
      </c>
      <c r="C4" s="72">
        <v>4</v>
      </c>
      <c r="D4" s="73">
        <v>6</v>
      </c>
    </row>
    <row r="5" spans="1:4" ht="15.75" customHeight="1" x14ac:dyDescent="0.25">
      <c r="A5" s="6" t="s">
        <v>16</v>
      </c>
      <c r="B5" s="74" t="s">
        <v>1</v>
      </c>
      <c r="C5" s="75">
        <v>4.5</v>
      </c>
      <c r="D5" s="76">
        <v>9.9</v>
      </c>
    </row>
    <row r="6" spans="1:4" ht="15.75" customHeight="1" x14ac:dyDescent="0.25">
      <c r="A6" s="6" t="s">
        <v>17</v>
      </c>
      <c r="B6" s="74" t="s">
        <v>2</v>
      </c>
      <c r="C6" s="77">
        <v>12</v>
      </c>
      <c r="D6" s="78">
        <v>13</v>
      </c>
    </row>
    <row r="7" spans="1:4" ht="15.75" customHeight="1" x14ac:dyDescent="0.25">
      <c r="A7" s="6" t="s">
        <v>30</v>
      </c>
      <c r="B7" s="79" t="s">
        <v>3</v>
      </c>
      <c r="C7" s="80">
        <v>30</v>
      </c>
      <c r="D7" s="81">
        <v>35</v>
      </c>
    </row>
    <row r="8" spans="1:4" ht="15.75" customHeight="1" x14ac:dyDescent="0.25">
      <c r="A8" s="6" t="s">
        <v>18</v>
      </c>
      <c r="B8" s="74" t="s">
        <v>4</v>
      </c>
      <c r="C8" s="80">
        <v>35</v>
      </c>
      <c r="D8" s="81">
        <v>52</v>
      </c>
    </row>
    <row r="9" spans="1:4" ht="15.75" customHeight="1" x14ac:dyDescent="0.25">
      <c r="A9" s="7" t="s">
        <v>19</v>
      </c>
      <c r="B9" s="82" t="s">
        <v>5</v>
      </c>
      <c r="C9" s="83">
        <v>58</v>
      </c>
      <c r="D9" s="84">
        <v>55</v>
      </c>
    </row>
    <row r="10" spans="1:4" ht="15.75" customHeight="1" x14ac:dyDescent="0.25">
      <c r="A10" s="22"/>
      <c r="B10" s="22"/>
      <c r="C10" s="22"/>
      <c r="D10" s="22"/>
    </row>
    <row r="11" spans="1:4" ht="15.75" customHeight="1" x14ac:dyDescent="0.25">
      <c r="A11" s="5" t="s">
        <v>29</v>
      </c>
      <c r="B11" s="85" t="s">
        <v>7</v>
      </c>
      <c r="C11" s="86">
        <f>1.6*(C5-C4)/C6</f>
        <v>6.6666666666666666E-2</v>
      </c>
      <c r="D11" s="87">
        <f>1.6*(D5-D4)/D6</f>
        <v>0.48000000000000009</v>
      </c>
    </row>
    <row r="12" spans="1:4" ht="15.75" customHeight="1" x14ac:dyDescent="0.25">
      <c r="A12" s="6"/>
      <c r="B12" s="88" t="s">
        <v>8</v>
      </c>
      <c r="C12" s="89">
        <f>C4+(C5-C4)/(1+2*C11)</f>
        <v>4.4411764705882355</v>
      </c>
      <c r="D12" s="90">
        <f>D4+(D5-D4)/(1+2*D11)</f>
        <v>7.9897959183673475</v>
      </c>
    </row>
    <row r="13" spans="1:4" ht="15.75" customHeight="1" x14ac:dyDescent="0.25">
      <c r="A13" s="6"/>
      <c r="B13" s="88" t="s">
        <v>9</v>
      </c>
      <c r="C13" s="91">
        <f t="shared" ref="C13:D13" si="0">303*C12</f>
        <v>1345.6764705882354</v>
      </c>
      <c r="D13" s="19">
        <f t="shared" si="0"/>
        <v>2420.9081632653065</v>
      </c>
    </row>
    <row r="14" spans="1:4" ht="15.75" customHeight="1" x14ac:dyDescent="0.25">
      <c r="A14" s="6"/>
      <c r="B14" s="88" t="s">
        <v>10</v>
      </c>
      <c r="C14" s="89">
        <f>1+0.5/(1+EXP((C9-60)/10))</f>
        <v>1.274916998656239</v>
      </c>
      <c r="D14" s="90">
        <f>1+0.5/(1+EXP((D9-60)/10))</f>
        <v>1.3112296656009272</v>
      </c>
    </row>
    <row r="15" spans="1:4" ht="15.75" customHeight="1" x14ac:dyDescent="0.25">
      <c r="A15" s="6"/>
      <c r="B15" s="88" t="s">
        <v>11</v>
      </c>
      <c r="C15" s="89">
        <f t="shared" ref="C15:D15" si="1">0.21*C14*(1+0.2*C12)</f>
        <v>0.50554208752598273</v>
      </c>
      <c r="D15" s="90">
        <f t="shared" si="1"/>
        <v>0.71536944184713458</v>
      </c>
    </row>
    <row r="16" spans="1:4" ht="15.75" customHeight="1" x14ac:dyDescent="0.25">
      <c r="A16" s="7"/>
      <c r="B16" s="92" t="s">
        <v>12</v>
      </c>
      <c r="C16" s="93">
        <f>1-0.00347*(C7-30)-0.978*((1/C8)-0.05)</f>
        <v>1.0209571428571429</v>
      </c>
      <c r="D16" s="94">
        <f>1-0.00347*(D7-30)-0.978*((1/D8)-0.05)</f>
        <v>1.0127423076923077</v>
      </c>
    </row>
    <row r="17" spans="1:4" ht="15.75" customHeight="1" x14ac:dyDescent="0.25">
      <c r="A17" s="22"/>
      <c r="B17" s="67"/>
      <c r="C17" s="67"/>
      <c r="D17" s="67"/>
    </row>
    <row r="18" spans="1:4" ht="15.75" customHeight="1" x14ac:dyDescent="0.25">
      <c r="A18" s="5" t="s">
        <v>25</v>
      </c>
      <c r="B18" s="71" t="s">
        <v>23</v>
      </c>
      <c r="C18" s="95">
        <f t="shared" ref="C18:D18" si="2">C16*C13</f>
        <v>1373.878004621849</v>
      </c>
      <c r="D18" s="16">
        <f t="shared" si="2"/>
        <v>2451.7561199764523</v>
      </c>
    </row>
    <row r="19" spans="1:4" ht="15.75" customHeight="1" x14ac:dyDescent="0.25">
      <c r="A19" s="6" t="s">
        <v>26</v>
      </c>
      <c r="B19" s="74" t="s">
        <v>24</v>
      </c>
      <c r="C19" s="96">
        <f t="shared" ref="C19:D19" si="3">C16*C15</f>
        <v>0.51613680527456296</v>
      </c>
      <c r="D19" s="17">
        <f t="shared" si="3"/>
        <v>0.72448489938882521</v>
      </c>
    </row>
    <row r="20" spans="1:4" ht="15.75" customHeight="1" x14ac:dyDescent="0.3">
      <c r="A20" s="6" t="s">
        <v>21</v>
      </c>
      <c r="B20" s="74" t="s">
        <v>31</v>
      </c>
      <c r="C20" s="97">
        <v>800</v>
      </c>
      <c r="D20" s="18">
        <v>1600</v>
      </c>
    </row>
    <row r="21" spans="1:4" ht="15.75" customHeight="1" x14ac:dyDescent="0.25">
      <c r="A21" s="6" t="s">
        <v>27</v>
      </c>
      <c r="B21" s="74" t="s">
        <v>13</v>
      </c>
      <c r="C21" s="91">
        <f>C18-C19*C20</f>
        <v>960.96856040219859</v>
      </c>
      <c r="D21" s="19">
        <f>D18-D19*D20</f>
        <v>1292.580280954332</v>
      </c>
    </row>
    <row r="22" spans="1:4" ht="15.75" customHeight="1" x14ac:dyDescent="0.25">
      <c r="A22" s="6" t="s">
        <v>20</v>
      </c>
      <c r="B22" s="74" t="s">
        <v>6</v>
      </c>
      <c r="C22" s="97">
        <v>700</v>
      </c>
      <c r="D22" s="18">
        <v>700</v>
      </c>
    </row>
    <row r="23" spans="1:4" ht="15.75" customHeight="1" x14ac:dyDescent="0.25">
      <c r="A23" s="7" t="s">
        <v>28</v>
      </c>
      <c r="B23" s="82" t="s">
        <v>14</v>
      </c>
      <c r="C23" s="98">
        <f>C22/C21</f>
        <v>0.72843173943903616</v>
      </c>
      <c r="D23" s="20">
        <f>D22/D21</f>
        <v>0.54155243609563586</v>
      </c>
    </row>
    <row r="24" spans="1:4" ht="18" customHeight="1" x14ac:dyDescent="0.2">
      <c r="C24" s="2"/>
      <c r="D24" s="2"/>
    </row>
    <row r="25" spans="1:4" ht="18" customHeight="1" x14ac:dyDescent="0.2">
      <c r="C25" s="2"/>
      <c r="D25"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C44"/>
  <sheetViews>
    <sheetView showGridLines="0" workbookViewId="0">
      <selection activeCell="C30" sqref="C30"/>
    </sheetView>
  </sheetViews>
  <sheetFormatPr defaultRowHeight="15" x14ac:dyDescent="0.25"/>
  <cols>
    <col min="1" max="1" width="42.85546875" style="3" customWidth="1"/>
    <col min="2" max="2" width="4.42578125" style="3" bestFit="1" customWidth="1"/>
    <col min="3" max="3" width="7.42578125" style="3" customWidth="1"/>
    <col min="4" max="16384" width="9.140625" style="3"/>
  </cols>
  <sheetData>
    <row r="1" spans="1:3" ht="17.25" customHeight="1" x14ac:dyDescent="0.25">
      <c r="A1" s="99" t="s">
        <v>35</v>
      </c>
      <c r="B1" s="100"/>
      <c r="C1" s="101"/>
    </row>
    <row r="2" spans="1:3" ht="17.25" customHeight="1" x14ac:dyDescent="0.25">
      <c r="A2" s="7" t="s">
        <v>38</v>
      </c>
      <c r="B2" s="102"/>
      <c r="C2" s="103"/>
    </row>
    <row r="3" spans="1:3" s="133" customFormat="1" ht="17.25" customHeight="1" x14ac:dyDescent="0.25">
      <c r="A3" s="43"/>
      <c r="B3" s="43"/>
      <c r="C3" s="43"/>
    </row>
    <row r="4" spans="1:3" ht="17.25" customHeight="1" x14ac:dyDescent="0.25">
      <c r="A4" s="23" t="s">
        <v>97</v>
      </c>
    </row>
    <row r="5" spans="1:3" ht="17.25" customHeight="1" x14ac:dyDescent="0.3">
      <c r="A5" s="5" t="s">
        <v>36</v>
      </c>
      <c r="B5" s="47" t="s">
        <v>40</v>
      </c>
      <c r="C5" s="104">
        <v>3.7</v>
      </c>
    </row>
    <row r="6" spans="1:3" ht="17.25" customHeight="1" x14ac:dyDescent="0.3">
      <c r="A6" s="6" t="s">
        <v>37</v>
      </c>
      <c r="B6" s="48" t="s">
        <v>41</v>
      </c>
      <c r="C6" s="105">
        <v>2.2000000000000002</v>
      </c>
    </row>
    <row r="7" spans="1:3" ht="17.25" customHeight="1" x14ac:dyDescent="0.3">
      <c r="A7" s="7" t="s">
        <v>21</v>
      </c>
      <c r="B7" s="49" t="s">
        <v>42</v>
      </c>
      <c r="C7" s="106">
        <v>800</v>
      </c>
    </row>
    <row r="9" spans="1:3" ht="17.25" customHeight="1" x14ac:dyDescent="0.25">
      <c r="A9" s="5" t="s">
        <v>27</v>
      </c>
      <c r="B9" s="47" t="s">
        <v>13</v>
      </c>
      <c r="C9" s="59">
        <f>EXP(-C7/3600*(C5-C6/2))/C6*3600</f>
        <v>918.23558505952838</v>
      </c>
    </row>
    <row r="10" spans="1:3" ht="17.25" customHeight="1" x14ac:dyDescent="0.25">
      <c r="A10" s="6" t="s">
        <v>20</v>
      </c>
      <c r="B10" s="48" t="s">
        <v>6</v>
      </c>
      <c r="C10" s="107">
        <v>700</v>
      </c>
    </row>
    <row r="11" spans="1:3" ht="17.25" customHeight="1" x14ac:dyDescent="0.25">
      <c r="A11" s="7" t="s">
        <v>28</v>
      </c>
      <c r="B11" s="49" t="s">
        <v>14</v>
      </c>
      <c r="C11" s="108">
        <f>C10/C9</f>
        <v>0.76233159702106257</v>
      </c>
    </row>
    <row r="13" spans="1:3" x14ac:dyDescent="0.25">
      <c r="A13" s="23" t="s">
        <v>97</v>
      </c>
    </row>
    <row r="14" spans="1:3" x14ac:dyDescent="0.25">
      <c r="A14" s="25" t="s">
        <v>35</v>
      </c>
      <c r="B14" s="26"/>
      <c r="C14" s="27"/>
    </row>
    <row r="15" spans="1:3" x14ac:dyDescent="0.25">
      <c r="A15" s="11" t="s">
        <v>39</v>
      </c>
      <c r="B15" s="28"/>
      <c r="C15" s="29"/>
    </row>
    <row r="17" spans="1:3" ht="16.5" x14ac:dyDescent="0.3">
      <c r="A17" s="8" t="s">
        <v>21</v>
      </c>
      <c r="B17" s="30" t="s">
        <v>42</v>
      </c>
      <c r="C17" s="31">
        <v>800</v>
      </c>
    </row>
    <row r="18" spans="1:3" x14ac:dyDescent="0.25">
      <c r="B18" s="23"/>
    </row>
    <row r="19" spans="1:3" x14ac:dyDescent="0.25">
      <c r="A19" s="9" t="s">
        <v>27</v>
      </c>
      <c r="B19" s="32" t="s">
        <v>13</v>
      </c>
      <c r="C19" s="33">
        <f>1130*EXP(-C17*0.001)</f>
        <v>507.74172945246039</v>
      </c>
    </row>
    <row r="20" spans="1:3" x14ac:dyDescent="0.25">
      <c r="A20" s="10" t="s">
        <v>20</v>
      </c>
      <c r="B20" s="34" t="s">
        <v>6</v>
      </c>
      <c r="C20" s="35">
        <v>700</v>
      </c>
    </row>
    <row r="21" spans="1:3" x14ac:dyDescent="0.25">
      <c r="A21" s="11" t="s">
        <v>28</v>
      </c>
      <c r="B21" s="36" t="s">
        <v>14</v>
      </c>
      <c r="C21" s="37">
        <f>C20/C19</f>
        <v>1.3786536725174579</v>
      </c>
    </row>
    <row r="24" spans="1:3" x14ac:dyDescent="0.25">
      <c r="A24" s="109" t="s">
        <v>50</v>
      </c>
      <c r="B24" s="110"/>
      <c r="C24" s="111"/>
    </row>
    <row r="25" spans="1:3" x14ac:dyDescent="0.25">
      <c r="A25" s="15" t="s">
        <v>39</v>
      </c>
      <c r="B25" s="112"/>
      <c r="C25" s="113"/>
    </row>
    <row r="27" spans="1:3" ht="16.5" x14ac:dyDescent="0.3">
      <c r="A27" s="12" t="s">
        <v>51</v>
      </c>
      <c r="B27" s="114" t="s">
        <v>42</v>
      </c>
      <c r="C27" s="115">
        <v>800</v>
      </c>
    </row>
    <row r="28" spans="1:3" x14ac:dyDescent="0.25">
      <c r="B28" s="23"/>
    </row>
    <row r="29" spans="1:3" x14ac:dyDescent="0.25">
      <c r="A29" s="21" t="s">
        <v>52</v>
      </c>
      <c r="B29" s="23"/>
    </row>
    <row r="30" spans="1:3" x14ac:dyDescent="0.25">
      <c r="A30" s="13" t="s">
        <v>27</v>
      </c>
      <c r="B30" s="116" t="s">
        <v>13</v>
      </c>
      <c r="C30" s="117">
        <f>1130*EXP(-C27*0.0007)</f>
        <v>645.46624214916085</v>
      </c>
    </row>
    <row r="31" spans="1:3" x14ac:dyDescent="0.25">
      <c r="A31" s="14" t="s">
        <v>20</v>
      </c>
      <c r="B31" s="118" t="s">
        <v>6</v>
      </c>
      <c r="C31" s="119">
        <v>700</v>
      </c>
    </row>
    <row r="32" spans="1:3" x14ac:dyDescent="0.25">
      <c r="A32" s="15" t="s">
        <v>28</v>
      </c>
      <c r="B32" s="120" t="s">
        <v>14</v>
      </c>
      <c r="C32" s="121">
        <f>C31/C30</f>
        <v>1.0844873895639564</v>
      </c>
    </row>
    <row r="33" spans="1:3" s="133" customFormat="1" x14ac:dyDescent="0.25">
      <c r="A33" s="43"/>
      <c r="B33" s="40"/>
      <c r="C33" s="134"/>
    </row>
    <row r="34" spans="1:3" x14ac:dyDescent="0.25">
      <c r="A34" s="23" t="s">
        <v>98</v>
      </c>
    </row>
    <row r="35" spans="1:3" x14ac:dyDescent="0.25">
      <c r="A35" s="21" t="s">
        <v>53</v>
      </c>
      <c r="B35" s="23"/>
    </row>
    <row r="36" spans="1:3" ht="16.5" x14ac:dyDescent="0.3">
      <c r="A36" s="13" t="s">
        <v>65</v>
      </c>
      <c r="B36" s="116" t="s">
        <v>67</v>
      </c>
      <c r="C36" s="117">
        <f>1130*EXP(-C31*0.00075)</f>
        <v>668.45756173450104</v>
      </c>
    </row>
    <row r="37" spans="1:3" ht="16.5" x14ac:dyDescent="0.3">
      <c r="A37" s="14" t="s">
        <v>66</v>
      </c>
      <c r="B37" s="118" t="s">
        <v>68</v>
      </c>
      <c r="C37" s="122">
        <f>1130*EXP(-C31*0.0007)</f>
        <v>692.26782542839021</v>
      </c>
    </row>
    <row r="38" spans="1:3" x14ac:dyDescent="0.25">
      <c r="A38" s="14" t="s">
        <v>54</v>
      </c>
      <c r="B38" s="118" t="s">
        <v>6</v>
      </c>
      <c r="C38" s="119">
        <v>700</v>
      </c>
    </row>
    <row r="39" spans="1:3" x14ac:dyDescent="0.25">
      <c r="A39" s="14" t="s">
        <v>56</v>
      </c>
      <c r="B39" s="118"/>
      <c r="C39" s="123">
        <v>0.47</v>
      </c>
    </row>
    <row r="40" spans="1:3" x14ac:dyDescent="0.25">
      <c r="A40" s="14" t="s">
        <v>57</v>
      </c>
      <c r="B40" s="118"/>
      <c r="C40" s="123">
        <v>0.53</v>
      </c>
    </row>
    <row r="41" spans="1:3" ht="16.5" x14ac:dyDescent="0.3">
      <c r="A41" s="14" t="s">
        <v>55</v>
      </c>
      <c r="B41" s="118" t="s">
        <v>59</v>
      </c>
      <c r="C41" s="119">
        <f>C38*C39</f>
        <v>329</v>
      </c>
    </row>
    <row r="42" spans="1:3" ht="16.5" x14ac:dyDescent="0.3">
      <c r="A42" s="14" t="s">
        <v>58</v>
      </c>
      <c r="B42" s="118" t="s">
        <v>60</v>
      </c>
      <c r="C42" s="119">
        <f>C38*C40</f>
        <v>371</v>
      </c>
    </row>
    <row r="43" spans="1:3" ht="16.5" x14ac:dyDescent="0.3">
      <c r="A43" s="14" t="s">
        <v>61</v>
      </c>
      <c r="B43" s="118" t="s">
        <v>63</v>
      </c>
      <c r="C43" s="124">
        <f>C41/C36</f>
        <v>0.49217784169621331</v>
      </c>
    </row>
    <row r="44" spans="1:3" ht="16.5" x14ac:dyDescent="0.3">
      <c r="A44" s="15" t="s">
        <v>62</v>
      </c>
      <c r="B44" s="120" t="s">
        <v>64</v>
      </c>
      <c r="C44" s="125">
        <f>C42/C37</f>
        <v>0.53591975009154469</v>
      </c>
    </row>
  </sheetData>
  <pageMargins left="0.7" right="0.7" top="0.75" bottom="0.75" header="0.3" footer="0.3"/>
  <pageSetup paperSize="9"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18"/>
  <sheetViews>
    <sheetView showGridLines="0" zoomScaleNormal="100" workbookViewId="0">
      <selection activeCell="A15" sqref="A15"/>
    </sheetView>
  </sheetViews>
  <sheetFormatPr defaultRowHeight="15" x14ac:dyDescent="0.25"/>
  <cols>
    <col min="1" max="1" width="27.28515625" customWidth="1"/>
  </cols>
  <sheetData>
    <row r="1" spans="1:3" x14ac:dyDescent="0.25">
      <c r="A1" s="21" t="s">
        <v>70</v>
      </c>
    </row>
    <row r="2" spans="1:3" x14ac:dyDescent="0.25">
      <c r="A2" s="3" t="s">
        <v>38</v>
      </c>
    </row>
    <row r="3" spans="1:3" x14ac:dyDescent="0.25">
      <c r="A3" s="3"/>
    </row>
    <row r="4" spans="1:3" x14ac:dyDescent="0.25">
      <c r="A4" s="23" t="s">
        <v>97</v>
      </c>
    </row>
    <row r="5" spans="1:3" x14ac:dyDescent="0.25">
      <c r="A5" s="21" t="s">
        <v>43</v>
      </c>
    </row>
    <row r="6" spans="1:3" ht="16.5" x14ac:dyDescent="0.3">
      <c r="A6" s="5" t="s">
        <v>36</v>
      </c>
      <c r="B6" s="47" t="s">
        <v>40</v>
      </c>
      <c r="C6" s="104">
        <v>3.7</v>
      </c>
    </row>
    <row r="7" spans="1:3" ht="16.5" x14ac:dyDescent="0.3">
      <c r="A7" s="7" t="s">
        <v>37</v>
      </c>
      <c r="B7" s="49" t="s">
        <v>41</v>
      </c>
      <c r="C7" s="126">
        <v>2.2000000000000002</v>
      </c>
    </row>
    <row r="9" spans="1:3" x14ac:dyDescent="0.25">
      <c r="A9" s="21" t="s">
        <v>44</v>
      </c>
    </row>
    <row r="10" spans="1:3" ht="16.5" x14ac:dyDescent="0.3">
      <c r="A10" s="5" t="s">
        <v>21</v>
      </c>
      <c r="B10" s="47" t="s">
        <v>42</v>
      </c>
      <c r="C10" s="61">
        <v>800</v>
      </c>
    </row>
    <row r="11" spans="1:3" x14ac:dyDescent="0.25">
      <c r="A11" s="6" t="s">
        <v>45</v>
      </c>
      <c r="B11" s="62" t="s">
        <v>46</v>
      </c>
      <c r="C11" s="63">
        <v>2</v>
      </c>
    </row>
    <row r="12" spans="1:3" x14ac:dyDescent="0.25">
      <c r="A12" s="6" t="s">
        <v>47</v>
      </c>
      <c r="B12" s="127" t="s">
        <v>3</v>
      </c>
      <c r="C12" s="64">
        <f>IF(C10/3600&lt;0.178,1,+IF(C10/3600&gt;0.5,0,1.553*(1-2*C10/3600)))</f>
        <v>0.86277777777777775</v>
      </c>
    </row>
    <row r="13" spans="1:3" x14ac:dyDescent="0.25">
      <c r="A13" s="7" t="s">
        <v>48</v>
      </c>
      <c r="B13" s="128" t="s">
        <v>49</v>
      </c>
      <c r="C13" s="66">
        <f>C10/3600*C12/(1-C11*C10/3600)</f>
        <v>0.34511111111111104</v>
      </c>
    </row>
    <row r="14" spans="1:3" s="42" customFormat="1" x14ac:dyDescent="0.25">
      <c r="A14" s="43"/>
      <c r="B14" s="135"/>
      <c r="C14" s="132"/>
    </row>
    <row r="15" spans="1:3" x14ac:dyDescent="0.25">
      <c r="A15" s="21" t="s">
        <v>99</v>
      </c>
    </row>
    <row r="16" spans="1:3" x14ac:dyDescent="0.25">
      <c r="A16" s="5" t="s">
        <v>27</v>
      </c>
      <c r="B16" s="47" t="s">
        <v>13</v>
      </c>
      <c r="C16" s="59">
        <f>C10*C12*EXP(-C13*(C6-C11))/(1-EXP(-C7*C13))</f>
        <v>721.6021371108792</v>
      </c>
    </row>
    <row r="17" spans="1:3" x14ac:dyDescent="0.25">
      <c r="A17" s="6" t="s">
        <v>20</v>
      </c>
      <c r="B17" s="48" t="s">
        <v>6</v>
      </c>
      <c r="C17" s="107">
        <v>700</v>
      </c>
    </row>
    <row r="18" spans="1:3" x14ac:dyDescent="0.25">
      <c r="A18" s="7" t="s">
        <v>28</v>
      </c>
      <c r="B18" s="49" t="s">
        <v>14</v>
      </c>
      <c r="C18" s="108">
        <f>C17/C16</f>
        <v>0.97006364587919747</v>
      </c>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40"/>
  <sheetViews>
    <sheetView showGridLines="0" zoomScaleNormal="100" workbookViewId="0">
      <selection activeCell="E33" sqref="E33"/>
    </sheetView>
  </sheetViews>
  <sheetFormatPr defaultRowHeight="15" x14ac:dyDescent="0.25"/>
  <cols>
    <col min="1" max="1" width="33.85546875" customWidth="1"/>
    <col min="2" max="2" width="6.7109375" customWidth="1"/>
  </cols>
  <sheetData>
    <row r="1" spans="1:4" x14ac:dyDescent="0.25">
      <c r="A1" s="21" t="s">
        <v>69</v>
      </c>
    </row>
    <row r="2" spans="1:4" x14ac:dyDescent="0.25">
      <c r="A2" s="3" t="s">
        <v>38</v>
      </c>
    </row>
    <row r="4" spans="1:4" x14ac:dyDescent="0.25">
      <c r="A4" s="21" t="s">
        <v>73</v>
      </c>
    </row>
    <row r="5" spans="1:4" ht="16.5" x14ac:dyDescent="0.3">
      <c r="A5" s="5" t="s">
        <v>36</v>
      </c>
      <c r="B5" s="47" t="s">
        <v>78</v>
      </c>
      <c r="C5" s="136">
        <v>3.4</v>
      </c>
      <c r="D5" s="42"/>
    </row>
    <row r="6" spans="1:4" ht="16.5" x14ac:dyDescent="0.3">
      <c r="A6" s="7" t="s">
        <v>37</v>
      </c>
      <c r="B6" s="49" t="s">
        <v>79</v>
      </c>
      <c r="C6" s="137">
        <v>2.2000000000000002</v>
      </c>
      <c r="D6" s="42"/>
    </row>
    <row r="7" spans="1:4" x14ac:dyDescent="0.25">
      <c r="A7" s="43"/>
      <c r="B7" s="40"/>
      <c r="C7" s="41"/>
      <c r="D7" s="41"/>
    </row>
    <row r="8" spans="1:4" x14ac:dyDescent="0.25">
      <c r="A8" s="44" t="s">
        <v>74</v>
      </c>
      <c r="B8" s="42"/>
      <c r="C8" s="42"/>
      <c r="D8" s="42"/>
    </row>
    <row r="9" spans="1:4" ht="16.5" x14ac:dyDescent="0.3">
      <c r="A9" s="5" t="s">
        <v>36</v>
      </c>
      <c r="B9" s="47" t="s">
        <v>80</v>
      </c>
      <c r="C9" s="136">
        <v>3.2</v>
      </c>
      <c r="D9" s="41"/>
    </row>
    <row r="10" spans="1:4" ht="16.5" x14ac:dyDescent="0.3">
      <c r="A10" s="7" t="s">
        <v>37</v>
      </c>
      <c r="B10" s="49" t="s">
        <v>81</v>
      </c>
      <c r="C10" s="137">
        <v>2.2000000000000002</v>
      </c>
      <c r="D10" s="41"/>
    </row>
    <row r="12" spans="1:4" x14ac:dyDescent="0.25">
      <c r="A12" s="21" t="s">
        <v>71</v>
      </c>
    </row>
    <row r="13" spans="1:4" ht="16.5" x14ac:dyDescent="0.3">
      <c r="A13" s="5" t="s">
        <v>21</v>
      </c>
      <c r="B13" s="47" t="s">
        <v>82</v>
      </c>
      <c r="C13" s="61">
        <v>1000</v>
      </c>
    </row>
    <row r="14" spans="1:4" ht="16.5" x14ac:dyDescent="0.3">
      <c r="A14" s="6" t="s">
        <v>45</v>
      </c>
      <c r="B14" s="62" t="s">
        <v>89</v>
      </c>
      <c r="C14" s="63">
        <v>2</v>
      </c>
    </row>
    <row r="15" spans="1:4" ht="16.5" x14ac:dyDescent="0.3">
      <c r="A15" s="6" t="s">
        <v>47</v>
      </c>
      <c r="B15" s="62" t="s">
        <v>88</v>
      </c>
      <c r="C15" s="64">
        <f>IF(qc_1/3600&lt;0.178,1,+IF(qc_1/3600&gt;0.5,0,1.553*(1-2*qc_1/3600)))</f>
        <v>0.69022222222222218</v>
      </c>
    </row>
    <row r="16" spans="1:4" ht="16.5" x14ac:dyDescent="0.3">
      <c r="A16" s="7" t="s">
        <v>48</v>
      </c>
      <c r="B16" s="65" t="s">
        <v>87</v>
      </c>
      <c r="C16" s="66">
        <f>qc_1/3600*Phi_1/(1-Delta1*qc_1/3600)</f>
        <v>0.43138888888888893</v>
      </c>
    </row>
    <row r="17" spans="1:3" x14ac:dyDescent="0.25">
      <c r="A17" s="43"/>
      <c r="B17" s="131"/>
      <c r="C17" s="132"/>
    </row>
    <row r="18" spans="1:3" x14ac:dyDescent="0.25">
      <c r="A18" s="21" t="s">
        <v>72</v>
      </c>
    </row>
    <row r="19" spans="1:3" ht="16.5" x14ac:dyDescent="0.3">
      <c r="A19" s="5" t="s">
        <v>21</v>
      </c>
      <c r="B19" s="47" t="s">
        <v>83</v>
      </c>
      <c r="C19" s="61">
        <v>600</v>
      </c>
    </row>
    <row r="20" spans="1:3" ht="16.5" x14ac:dyDescent="0.3">
      <c r="A20" s="6" t="s">
        <v>45</v>
      </c>
      <c r="B20" s="62" t="s">
        <v>84</v>
      </c>
      <c r="C20" s="63">
        <v>2</v>
      </c>
    </row>
    <row r="21" spans="1:3" ht="16.5" x14ac:dyDescent="0.3">
      <c r="A21" s="6" t="s">
        <v>47</v>
      </c>
      <c r="B21" s="62" t="s">
        <v>85</v>
      </c>
      <c r="C21" s="64">
        <f>IF(C19/3600&lt;0.178,1,+IF(C19/3600&gt;0.5,0,1.553*(1-2*C19/3600)))</f>
        <v>1</v>
      </c>
    </row>
    <row r="22" spans="1:3" ht="16.5" x14ac:dyDescent="0.3">
      <c r="A22" s="7" t="s">
        <v>48</v>
      </c>
      <c r="B22" s="65" t="s">
        <v>86</v>
      </c>
      <c r="C22" s="66">
        <f>C19/3600*C21/(1-C20*C19/3600)</f>
        <v>0.24999999999999994</v>
      </c>
    </row>
    <row r="23" spans="1:3" x14ac:dyDescent="0.25">
      <c r="A23" s="43"/>
      <c r="B23" s="131"/>
      <c r="C23" s="132"/>
    </row>
    <row r="24" spans="1:3" x14ac:dyDescent="0.25">
      <c r="A24" s="21" t="s">
        <v>75</v>
      </c>
    </row>
    <row r="25" spans="1:3" ht="16.5" x14ac:dyDescent="0.3">
      <c r="A25" s="5" t="s">
        <v>65</v>
      </c>
      <c r="B25" s="47" t="s">
        <v>67</v>
      </c>
      <c r="C25" s="59">
        <f>EXP(-((tcE-Delta1)*(lam_1+Lam_2)))*(lam_1+Lam_2)*Phi_1*Phi_2/((1-EXP((-tfE*(lam_1+Lam_2))))*(Phi_1+lam_1*Delta1)*(Phi_2+Lam_2*Delta2))*3600</f>
        <v>360.49610773116729</v>
      </c>
    </row>
    <row r="26" spans="1:3" ht="16.5" x14ac:dyDescent="0.3">
      <c r="A26" s="7" t="s">
        <v>66</v>
      </c>
      <c r="B26" s="49" t="s">
        <v>68</v>
      </c>
      <c r="C26" s="60">
        <f>EXP(-((tcD-Delta1)*(lam_1+Lam_2)))*(lam_1+Lam_2)*Phi_1*Phi_2/((1-EXP((-tfD*(lam_1+Lam_2))))*(Phi_1+lam_1*Delta1)*(Phi_2+Lam_2*Delta2))*3600</f>
        <v>413.12860534782305</v>
      </c>
    </row>
    <row r="28" spans="1:3" x14ac:dyDescent="0.25">
      <c r="A28" s="21" t="s">
        <v>76</v>
      </c>
    </row>
    <row r="29" spans="1:3" ht="16.5" x14ac:dyDescent="0.3">
      <c r="A29" s="5" t="s">
        <v>90</v>
      </c>
      <c r="B29" s="53" t="s">
        <v>94</v>
      </c>
      <c r="C29" s="54">
        <v>50</v>
      </c>
    </row>
    <row r="30" spans="1:3" ht="16.5" x14ac:dyDescent="0.3">
      <c r="A30" s="6" t="s">
        <v>91</v>
      </c>
      <c r="B30" s="55" t="s">
        <v>95</v>
      </c>
      <c r="C30" s="56">
        <v>350</v>
      </c>
    </row>
    <row r="31" spans="1:3" ht="16.5" x14ac:dyDescent="0.3">
      <c r="A31" s="6" t="s">
        <v>92</v>
      </c>
      <c r="B31" s="55" t="s">
        <v>96</v>
      </c>
      <c r="C31" s="56">
        <v>300</v>
      </c>
    </row>
    <row r="32" spans="1:3" x14ac:dyDescent="0.25">
      <c r="A32" s="7" t="s">
        <v>93</v>
      </c>
      <c r="B32" s="57" t="s">
        <v>6</v>
      </c>
      <c r="C32" s="58">
        <f>C31+C30+C29</f>
        <v>700</v>
      </c>
    </row>
    <row r="33" spans="1:6" x14ac:dyDescent="0.25">
      <c r="A33" s="43"/>
      <c r="B33" s="45"/>
      <c r="C33" s="45"/>
    </row>
    <row r="34" spans="1:6" ht="16.5" x14ac:dyDescent="0.3">
      <c r="A34" s="4" t="s">
        <v>100</v>
      </c>
      <c r="B34" s="51" t="s">
        <v>77</v>
      </c>
      <c r="C34" s="52">
        <f>MAX(MIN(((C30+C31)*C25-C29*C26)/(C30*(C25+C26)),1),0)</f>
        <v>0.7891092269771649</v>
      </c>
    </row>
    <row r="35" spans="1:6" s="42" customFormat="1" x14ac:dyDescent="0.25">
      <c r="A35" s="43"/>
      <c r="B35" s="40"/>
      <c r="C35" s="46"/>
    </row>
    <row r="36" spans="1:6" x14ac:dyDescent="0.25">
      <c r="A36" s="21" t="s">
        <v>99</v>
      </c>
      <c r="B36" s="45"/>
      <c r="C36" s="45"/>
    </row>
    <row r="37" spans="1:6" ht="16.5" x14ac:dyDescent="0.3">
      <c r="A37" s="5" t="s">
        <v>55</v>
      </c>
      <c r="B37" s="47" t="s">
        <v>59</v>
      </c>
      <c r="C37" s="59">
        <f>C29+C34*C30</f>
        <v>326.1882294420077</v>
      </c>
      <c r="D37" s="38"/>
      <c r="E37" s="38"/>
      <c r="F37" s="39"/>
    </row>
    <row r="38" spans="1:6" ht="16.5" x14ac:dyDescent="0.3">
      <c r="A38" s="6" t="s">
        <v>58</v>
      </c>
      <c r="B38" s="48" t="s">
        <v>60</v>
      </c>
      <c r="C38" s="129">
        <f>C31+(1-C34)*C30</f>
        <v>373.8117705579923</v>
      </c>
      <c r="D38" s="24"/>
      <c r="E38" s="24"/>
    </row>
    <row r="39" spans="1:6" ht="16.5" x14ac:dyDescent="0.3">
      <c r="A39" s="6" t="s">
        <v>61</v>
      </c>
      <c r="B39" s="48" t="s">
        <v>63</v>
      </c>
      <c r="C39" s="130">
        <f>C37/C25</f>
        <v>0.90483148762664589</v>
      </c>
      <c r="D39" s="24"/>
      <c r="E39" s="24"/>
    </row>
    <row r="40" spans="1:6" ht="16.5" x14ac:dyDescent="0.3">
      <c r="A40" s="7" t="s">
        <v>62</v>
      </c>
      <c r="B40" s="49" t="s">
        <v>64</v>
      </c>
      <c r="C40" s="50">
        <f>C38/C26</f>
        <v>0.90483148762664611</v>
      </c>
    </row>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2"/>
  <sheetViews>
    <sheetView showGridLines="0" workbookViewId="0">
      <selection activeCell="H12" sqref="H12"/>
    </sheetView>
  </sheetViews>
  <sheetFormatPr defaultRowHeight="15" x14ac:dyDescent="0.25"/>
  <cols>
    <col min="1" max="1" width="86.140625" style="139" customWidth="1"/>
    <col min="2" max="16384" width="9.140625" style="3"/>
  </cols>
  <sheetData>
    <row r="1" spans="1:2" x14ac:dyDescent="0.25">
      <c r="A1" s="142" t="s">
        <v>114</v>
      </c>
    </row>
    <row r="3" spans="1:2" x14ac:dyDescent="0.25">
      <c r="A3" s="140" t="s">
        <v>102</v>
      </c>
    </row>
    <row r="4" spans="1:2" x14ac:dyDescent="0.25">
      <c r="A4" s="139" t="s">
        <v>112</v>
      </c>
      <c r="B4" s="138"/>
    </row>
    <row r="5" spans="1:2" x14ac:dyDescent="0.25">
      <c r="A5" s="141" t="s">
        <v>113</v>
      </c>
      <c r="B5" s="138"/>
    </row>
    <row r="7" spans="1:2" x14ac:dyDescent="0.25">
      <c r="A7" s="140" t="s">
        <v>101</v>
      </c>
    </row>
    <row r="8" spans="1:2" ht="30" x14ac:dyDescent="0.25">
      <c r="A8" s="139" t="s">
        <v>103</v>
      </c>
    </row>
    <row r="10" spans="1:2" x14ac:dyDescent="0.25">
      <c r="A10" s="140" t="s">
        <v>104</v>
      </c>
    </row>
    <row r="11" spans="1:2" ht="45" x14ac:dyDescent="0.25">
      <c r="A11" s="139" t="s">
        <v>108</v>
      </c>
    </row>
    <row r="13" spans="1:2" x14ac:dyDescent="0.25">
      <c r="A13" s="140" t="s">
        <v>105</v>
      </c>
    </row>
    <row r="14" spans="1:2" ht="45" x14ac:dyDescent="0.25">
      <c r="A14" s="139" t="s">
        <v>107</v>
      </c>
    </row>
    <row r="16" spans="1:2" ht="29.25" x14ac:dyDescent="0.25">
      <c r="A16" s="140" t="s">
        <v>106</v>
      </c>
    </row>
    <row r="17" spans="1:1" ht="30" customHeight="1" x14ac:dyDescent="0.25">
      <c r="A17" s="139" t="s">
        <v>109</v>
      </c>
    </row>
    <row r="19" spans="1:1" x14ac:dyDescent="0.25">
      <c r="A19" s="140" t="s">
        <v>110</v>
      </c>
    </row>
    <row r="20" spans="1:1" x14ac:dyDescent="0.25">
      <c r="A20" s="141" t="s">
        <v>111</v>
      </c>
    </row>
    <row r="22" spans="1:1" x14ac:dyDescent="0.25">
      <c r="A22" s="3"/>
    </row>
  </sheetData>
  <hyperlinks>
    <hyperlink ref="A20" r:id="rId1"/>
    <hyperlink ref="A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12</vt:i4>
      </vt:variant>
    </vt:vector>
  </HeadingPairs>
  <TitlesOfParts>
    <vt:vector size="17" baseType="lpstr">
      <vt:lpstr>TRL</vt:lpstr>
      <vt:lpstr>Siegloch - HCM</vt:lpstr>
      <vt:lpstr>Hagring - 1 via</vt:lpstr>
      <vt:lpstr>Hagring - 2 vias</vt:lpstr>
      <vt:lpstr>Notas</vt:lpstr>
      <vt:lpstr>Delta1</vt:lpstr>
      <vt:lpstr>Delta2</vt:lpstr>
      <vt:lpstr>lam_1</vt:lpstr>
      <vt:lpstr>Lam_2</vt:lpstr>
      <vt:lpstr>Phi_1</vt:lpstr>
      <vt:lpstr>Phi_2</vt:lpstr>
      <vt:lpstr>qc_1</vt:lpstr>
      <vt:lpstr>qc_2</vt:lpstr>
      <vt:lpstr>tcD</vt:lpstr>
      <vt:lpstr>tcE</vt:lpstr>
      <vt:lpstr>tfD</vt:lpstr>
      <vt:lpstr>tfE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Luís Vasconcelos</dc:creator>
  <cp:lastModifiedBy>Luís Vasconcelos</cp:lastModifiedBy>
  <cp:lastPrinted>2014-12-03T20:10:01Z</cp:lastPrinted>
  <dcterms:created xsi:type="dcterms:W3CDTF">2014-12-03T15:41:19Z</dcterms:created>
  <dcterms:modified xsi:type="dcterms:W3CDTF">2014-12-08T23:33:43Z</dcterms:modified>
</cp:coreProperties>
</file>